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0" yWindow="0" windowWidth="25600" windowHeight="14640"/>
  </bookViews>
  <sheets>
    <sheet name="Sheet1" sheetId="1" r:id="rId1"/>
    <sheet name="Standard GI P&amp;L" sheetId="2" r:id="rId2"/>
    <sheet name="GI Charge analysis" sheetId="3" r:id="rId3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D27" i="1"/>
  <c r="D7" i="1"/>
  <c r="D8" i="1"/>
  <c r="D5" i="1"/>
  <c r="D6" i="1"/>
  <c r="D34" i="1"/>
  <c r="D39" i="1"/>
  <c r="F3" i="3"/>
  <c r="F4" i="3"/>
  <c r="F5" i="3"/>
  <c r="L6" i="3"/>
  <c r="F12" i="3"/>
  <c r="F13" i="3"/>
  <c r="F15" i="3"/>
  <c r="F16" i="3"/>
  <c r="L17" i="3"/>
  <c r="E3" i="3"/>
  <c r="E4" i="3"/>
  <c r="E5" i="3"/>
  <c r="E6" i="3"/>
  <c r="E8" i="3"/>
  <c r="E12" i="3"/>
  <c r="E13" i="3"/>
  <c r="E14" i="3"/>
  <c r="E15" i="3"/>
  <c r="E16" i="3"/>
  <c r="E19" i="3"/>
  <c r="J19" i="3"/>
  <c r="E17" i="3"/>
  <c r="F17" i="3"/>
  <c r="F6" i="3"/>
  <c r="D13" i="1"/>
  <c r="D14" i="1"/>
  <c r="D15" i="1"/>
  <c r="D54" i="1"/>
  <c r="D49" i="1"/>
  <c r="D43" i="1"/>
  <c r="D19" i="1"/>
  <c r="D20" i="1"/>
  <c r="D21" i="1"/>
  <c r="D22" i="1"/>
  <c r="D3" i="1"/>
  <c r="D4" i="1"/>
  <c r="C21" i="1"/>
  <c r="C14" i="1"/>
  <c r="D12" i="1"/>
  <c r="C6" i="1"/>
  <c r="D56" i="1"/>
  <c r="D58" i="1"/>
  <c r="D60" i="1"/>
</calcChain>
</file>

<file path=xl/sharedStrings.xml><?xml version="1.0" encoding="utf-8"?>
<sst xmlns="http://schemas.openxmlformats.org/spreadsheetml/2006/main" count="132" uniqueCount="122">
  <si>
    <t>Office Practice</t>
  </si>
  <si>
    <t>Numbers</t>
  </si>
  <si>
    <t>Revenue</t>
  </si>
  <si>
    <t>CPT code used</t>
  </si>
  <si>
    <t>New patients per day</t>
  </si>
  <si>
    <t>Returning patients per day</t>
  </si>
  <si>
    <t>Days worked per year</t>
  </si>
  <si>
    <t>Inpatient Service</t>
  </si>
  <si>
    <t>Consults per day</t>
  </si>
  <si>
    <t>Procedures</t>
  </si>
  <si>
    <t>Major per week</t>
  </si>
  <si>
    <t>Revenue Office Practice</t>
  </si>
  <si>
    <t>Revenue  Inpatient Service</t>
  </si>
  <si>
    <t>Weeks on service</t>
  </si>
  <si>
    <t>Revenue Procedures</t>
  </si>
  <si>
    <t>EXPENSES</t>
  </si>
  <si>
    <t>% dean's/ departmental tax</t>
  </si>
  <si>
    <t>Total Revenue</t>
  </si>
  <si>
    <t>Fringe rate</t>
  </si>
  <si>
    <t>Overhead dean/dept expense</t>
  </si>
  <si>
    <t>Profee per CPT</t>
  </si>
  <si>
    <t>% non-medicare</t>
  </si>
  <si>
    <t>Salary Expense</t>
  </si>
  <si>
    <t>Personal Salary</t>
  </si>
  <si>
    <t>Support staff expense</t>
  </si>
  <si>
    <t>Office expenses</t>
  </si>
  <si>
    <t>Academic expenses</t>
  </si>
  <si>
    <t>Other expenses</t>
  </si>
  <si>
    <t>Total Expense</t>
  </si>
  <si>
    <t>Bonus</t>
  </si>
  <si>
    <t>Overall P&amp;L</t>
  </si>
  <si>
    <t>Work RVUs</t>
  </si>
  <si>
    <t>Appendectomy</t>
  </si>
  <si>
    <t>Total Colectomy</t>
  </si>
  <si>
    <t>Medicare Revenue</t>
  </si>
  <si>
    <t>Non-Medicare Revenue</t>
  </si>
  <si>
    <t>Malpractice Expense</t>
  </si>
  <si>
    <t>Beginning Balance</t>
  </si>
  <si>
    <t>Clinical Charges</t>
  </si>
  <si>
    <t>Revenue &amp; Transfers</t>
  </si>
  <si>
    <t>Government Grants/Contracts</t>
  </si>
  <si>
    <t>Private Grants/Contracts</t>
  </si>
  <si>
    <t>Clinical Services - IDX Rev</t>
  </si>
  <si>
    <t xml:space="preserve">                           - Non-IDX Rev</t>
  </si>
  <si>
    <t>Clinical Services - Total</t>
  </si>
  <si>
    <t>Affiliated Institution Payments</t>
  </si>
  <si>
    <t>Tuition and Educational Fees</t>
  </si>
  <si>
    <t>Contributions</t>
  </si>
  <si>
    <t>Investment Income</t>
  </si>
  <si>
    <t>Other Revenue</t>
  </si>
  <si>
    <t xml:space="preserve">      Dean's Tax Waiver Transfer IN</t>
  </si>
  <si>
    <t xml:space="preserve">      Other Tax Waiver Transfer IN</t>
  </si>
  <si>
    <t xml:space="preserve">      Other Transfers IN</t>
  </si>
  <si>
    <t xml:space="preserve">      Dean's Clinical Tax Transfer OUT</t>
  </si>
  <si>
    <t xml:space="preserve">      DoM Clinical Tax Transfer OUT (estimate)</t>
  </si>
  <si>
    <t xml:space="preserve">      Dean's Gift Tax Transfer OUT</t>
  </si>
  <si>
    <t xml:space="preserve">      DoM Gift Tax Transfer OUT</t>
  </si>
  <si>
    <t xml:space="preserve">      Other Transfers OUT</t>
  </si>
  <si>
    <t>Total Transfers (IN/OUT)</t>
  </si>
  <si>
    <t>Total Revenue &amp; Transfers</t>
  </si>
  <si>
    <t>Expenditures</t>
  </si>
  <si>
    <t>Faculty Salaries</t>
  </si>
  <si>
    <t>Faculty Supplements</t>
  </si>
  <si>
    <t>Staff Salaries</t>
  </si>
  <si>
    <t>Student/Post Doc Salaries (Non-Stipend)</t>
  </si>
  <si>
    <t>Fringe Benefits</t>
  </si>
  <si>
    <t>Supplies &amp; Materials</t>
  </si>
  <si>
    <t>Contractual Services</t>
  </si>
  <si>
    <t>Capital Expenditures</t>
  </si>
  <si>
    <t>Student Aid / Stipends</t>
  </si>
  <si>
    <t xml:space="preserve">      Profee Billing Expense</t>
  </si>
  <si>
    <t xml:space="preserve">      Malpractice Premium</t>
  </si>
  <si>
    <t xml:space="preserve">      JHOC Session Fees</t>
  </si>
  <si>
    <t>Charter Drive Session Fees</t>
  </si>
  <si>
    <t xml:space="preserve">      GSS Session Fees</t>
  </si>
  <si>
    <t xml:space="preserve">      Other Internal Charges</t>
  </si>
  <si>
    <t>Total Internal Charges</t>
  </si>
  <si>
    <t xml:space="preserve">      Other Expenditures: PostdocSurcharge</t>
  </si>
  <si>
    <t xml:space="preserve">      Other Expenditures/Credits</t>
  </si>
  <si>
    <t>Total Other Expenditures</t>
  </si>
  <si>
    <t>Indirect Costs</t>
  </si>
  <si>
    <t>Total Expenditures</t>
  </si>
  <si>
    <t>Operating Surplus/(Deficit)</t>
  </si>
  <si>
    <t>Ending Balance</t>
  </si>
  <si>
    <t xml:space="preserve">Sessions </t>
  </si>
  <si>
    <t>Total 
Charges &amp; Payments</t>
  </si>
  <si>
    <t>WRVUs</t>
  </si>
  <si>
    <t>E&amp;M Session</t>
  </si>
  <si>
    <t>Charge</t>
  </si>
  <si>
    <t>Patients</t>
  </si>
  <si>
    <t>Charges/Session</t>
  </si>
  <si>
    <t>wRVUs</t>
  </si>
  <si>
    <t>New Patient Level 4 (Unregulated Fee)</t>
  </si>
  <si>
    <t>Return Patient Level 4 (Unregulated Fee)</t>
  </si>
  <si>
    <t>Total Charges per E&amp;M Session</t>
  </si>
  <si>
    <t>Total Charges/WRVU's per Block (Based on 40 weeks)</t>
  </si>
  <si>
    <t>Collection Rate</t>
  </si>
  <si>
    <t>Net Payments per E&amp;M Session</t>
  </si>
  <si>
    <t>Weeks</t>
  </si>
  <si>
    <t>Inpatient Week</t>
  </si>
  <si>
    <t>New, Inpt Care, Level 2</t>
  </si>
  <si>
    <t>Est, Inpt Care, Level 2</t>
  </si>
  <si>
    <t>New/ Est Inpatient consultation (99255)</t>
  </si>
  <si>
    <t>EGD (CPT 43239)</t>
  </si>
  <si>
    <t>Total Charges per Inpatient Week</t>
  </si>
  <si>
    <t>Total Charges per Year (Based on 9 weeks)</t>
  </si>
  <si>
    <t>Net Payments per Week</t>
  </si>
  <si>
    <t>Outpatient (E+M)</t>
  </si>
  <si>
    <t>Percentage "Complex"</t>
  </si>
  <si>
    <t>Collection rate</t>
  </si>
  <si>
    <t>Flat rate paid for inpt service by dept</t>
  </si>
  <si>
    <t xml:space="preserve">Minor per week </t>
  </si>
  <si>
    <t>Grant Income Salary Support</t>
  </si>
  <si>
    <t>Departmental Contributions</t>
  </si>
  <si>
    <t>99215 (returning complex)</t>
  </si>
  <si>
    <t>99205 (new complex)</t>
  </si>
  <si>
    <t>EXAMPLES</t>
  </si>
  <si>
    <t>Contracting percentage of Medicare for other insurers</t>
  </si>
  <si>
    <t>Administrative Assistant Expense (with benefits)</t>
  </si>
  <si>
    <t>Physician's Assistant/ NP expense (with benefits)</t>
  </si>
  <si>
    <t>Fellow expense (with benefits)</t>
  </si>
  <si>
    <t>No show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</si>
</sst>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sz val="20"/>
      <color theme="6" tint="-0.499984740745262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9" fillId="0" borderId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9" fontId="0" fillId="0" borderId="0" xfId="0" applyNumberFormat="1"/>
    <xf numFmtId="3" fontId="0" fillId="0" borderId="0" xfId="0" applyNumberFormat="1"/>
    <xf numFmtId="2" fontId="0" fillId="0" borderId="0" xfId="0" applyNumberFormat="1"/>
    <xf numFmtId="0" fontId="5" fillId="0" borderId="0" xfId="0" applyFont="1"/>
    <xf numFmtId="2" fontId="6" fillId="0" borderId="0" xfId="0" applyNumberFormat="1" applyFont="1"/>
    <xf numFmtId="41" fontId="7" fillId="0" borderId="0" xfId="0" applyNumberFormat="1" applyFont="1" applyProtection="1"/>
    <xf numFmtId="41" fontId="0" fillId="0" borderId="0" xfId="0" applyNumberFormat="1" applyProtection="1"/>
    <xf numFmtId="41" fontId="8" fillId="0" borderId="0" xfId="0" applyNumberFormat="1" applyFont="1" applyBorder="1" applyProtection="1"/>
    <xf numFmtId="41" fontId="0" fillId="0" borderId="0" xfId="0" applyNumberFormat="1" applyFill="1" applyProtection="1"/>
    <xf numFmtId="41" fontId="9" fillId="0" borderId="0" xfId="0" applyNumberFormat="1" applyFont="1" applyFill="1" applyProtection="1"/>
    <xf numFmtId="41" fontId="8" fillId="0" borderId="0" xfId="0" applyNumberFormat="1" applyFont="1" applyProtection="1"/>
    <xf numFmtId="41" fontId="9" fillId="0" borderId="0" xfId="0" applyNumberFormat="1" applyFont="1" applyFill="1" applyAlignment="1" applyProtection="1">
      <alignment horizontal="left" indent="2"/>
    </xf>
    <xf numFmtId="0" fontId="11" fillId="2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9" fillId="0" borderId="0" xfId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5" xfId="0" applyBorder="1"/>
    <xf numFmtId="42" fontId="0" fillId="0" borderId="5" xfId="0" applyNumberFormat="1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42" fontId="1" fillId="0" borderId="0" xfId="0" applyNumberFormat="1" applyFont="1"/>
    <xf numFmtId="2" fontId="1" fillId="0" borderId="0" xfId="0" applyNumberFormat="1" applyFont="1" applyAlignment="1">
      <alignment horizontal="center"/>
    </xf>
    <xf numFmtId="164" fontId="1" fillId="0" borderId="0" xfId="0" applyNumberFormat="1" applyFont="1"/>
    <xf numFmtId="2" fontId="1" fillId="0" borderId="0" xfId="0" applyNumberFormat="1" applyFont="1"/>
    <xf numFmtId="10" fontId="0" fillId="0" borderId="0" xfId="2" applyNumberFormat="1" applyFont="1"/>
    <xf numFmtId="0" fontId="11" fillId="0" borderId="0" xfId="0" applyFont="1"/>
    <xf numFmtId="37" fontId="1" fillId="0" borderId="0" xfId="0" applyNumberFormat="1" applyFont="1"/>
    <xf numFmtId="42" fontId="1" fillId="3" borderId="0" xfId="0" applyNumberFormat="1" applyFont="1" applyFill="1"/>
    <xf numFmtId="0" fontId="0" fillId="0" borderId="0" xfId="0" applyBorder="1"/>
    <xf numFmtId="42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 applyAlignment="1">
      <alignment horizontal="center"/>
    </xf>
    <xf numFmtId="164" fontId="9" fillId="0" borderId="0" xfId="1" applyNumberFormat="1"/>
    <xf numFmtId="42" fontId="9" fillId="0" borderId="0" xfId="1" applyNumberFormat="1"/>
    <xf numFmtId="2" fontId="9" fillId="0" borderId="0" xfId="1" applyNumberForma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42" fontId="1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2" fontId="1" fillId="0" borderId="0" xfId="0" applyNumberFormat="1" applyFont="1" applyFill="1"/>
    <xf numFmtId="10" fontId="0" fillId="0" borderId="0" xfId="2" applyNumberFormat="1" applyFont="1" applyFill="1"/>
    <xf numFmtId="0" fontId="11" fillId="0" borderId="0" xfId="0" applyFont="1" applyFill="1"/>
    <xf numFmtId="37" fontId="1" fillId="0" borderId="0" xfId="0" applyNumberFormat="1" applyFont="1" applyFill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D34" sqref="D34"/>
    </sheetView>
  </sheetViews>
  <sheetFormatPr baseColWidth="10" defaultColWidth="8.83203125" defaultRowHeight="14" x14ac:dyDescent="0"/>
  <cols>
    <col min="1" max="1" width="46.1640625" style="1" customWidth="1"/>
    <col min="2" max="2" width="11" customWidth="1"/>
    <col min="3" max="3" width="12.6640625" customWidth="1"/>
    <col min="4" max="4" width="19.5" customWidth="1"/>
    <col min="5" max="5" width="17.83203125" customWidth="1"/>
    <col min="6" max="6" width="14.1640625" customWidth="1"/>
    <col min="7" max="7" width="24.6640625" customWidth="1"/>
    <col min="8" max="8" width="8.83203125" customWidth="1"/>
  </cols>
  <sheetData>
    <row r="1" spans="1:8">
      <c r="B1" t="s">
        <v>1</v>
      </c>
      <c r="C1" t="s">
        <v>31</v>
      </c>
      <c r="D1" t="s">
        <v>2</v>
      </c>
      <c r="E1" t="s">
        <v>3</v>
      </c>
      <c r="F1" t="s">
        <v>20</v>
      </c>
    </row>
    <row r="2" spans="1:8" ht="23">
      <c r="A2" s="2" t="s">
        <v>0</v>
      </c>
    </row>
    <row r="3" spans="1:8">
      <c r="A3" s="1" t="s">
        <v>4</v>
      </c>
      <c r="B3">
        <v>5</v>
      </c>
      <c r="C3">
        <v>2.4300000000000002</v>
      </c>
      <c r="D3">
        <f>$B$3*$F$3</f>
        <v>700</v>
      </c>
      <c r="E3">
        <v>99204</v>
      </c>
      <c r="F3">
        <v>140</v>
      </c>
    </row>
    <row r="4" spans="1:8">
      <c r="A4" s="1" t="s">
        <v>5</v>
      </c>
      <c r="B4">
        <v>10</v>
      </c>
      <c r="C4">
        <v>1.5</v>
      </c>
      <c r="D4">
        <f>$B$4*$F$4</f>
        <v>880</v>
      </c>
      <c r="E4">
        <v>99214</v>
      </c>
      <c r="F4">
        <v>88</v>
      </c>
      <c r="G4" t="s">
        <v>114</v>
      </c>
      <c r="H4">
        <v>120</v>
      </c>
    </row>
    <row r="5" spans="1:8">
      <c r="A5" s="1" t="s">
        <v>108</v>
      </c>
      <c r="B5" s="5">
        <v>0.4</v>
      </c>
      <c r="C5">
        <v>3.17</v>
      </c>
      <c r="D5">
        <f>$B$3*(1-$B$5)*$F$3+$B$3*$B$5*$F$5+$B$4*(1-$B$5)*$F$4+$B$4*$B$5*$H$4</f>
        <v>1798</v>
      </c>
      <c r="E5" t="s">
        <v>115</v>
      </c>
      <c r="F5">
        <v>185</v>
      </c>
    </row>
    <row r="6" spans="1:8">
      <c r="A6" s="1" t="s">
        <v>6</v>
      </c>
      <c r="B6">
        <v>80</v>
      </c>
      <c r="C6">
        <f>$B$6*($B$3*$C$3)+$B$6*($B$4*$C$4)</f>
        <v>2172</v>
      </c>
      <c r="D6">
        <f>$B$6*$D$5</f>
        <v>143840</v>
      </c>
    </row>
    <row r="7" spans="1:8">
      <c r="A7" s="1" t="s">
        <v>11</v>
      </c>
      <c r="D7">
        <f>$D$6-$D$8</f>
        <v>136648</v>
      </c>
    </row>
    <row r="8" spans="1:8">
      <c r="A8" s="1" t="s">
        <v>121</v>
      </c>
      <c r="B8" s="5">
        <v>0.05</v>
      </c>
      <c r="D8">
        <f>$D$6*$B$8</f>
        <v>7192</v>
      </c>
    </row>
    <row r="10" spans="1:8" ht="23">
      <c r="A10" s="2" t="s">
        <v>7</v>
      </c>
    </row>
    <row r="11" spans="1:8">
      <c r="A11" s="1" t="s">
        <v>110</v>
      </c>
      <c r="B11" s="6">
        <v>20000</v>
      </c>
    </row>
    <row r="12" spans="1:8">
      <c r="A12" s="1" t="s">
        <v>8</v>
      </c>
      <c r="B12">
        <v>10</v>
      </c>
      <c r="C12">
        <v>2.61</v>
      </c>
      <c r="D12">
        <f>$B$12*$F$12</f>
        <v>1500</v>
      </c>
      <c r="E12">
        <v>99222</v>
      </c>
      <c r="F12">
        <v>150</v>
      </c>
    </row>
    <row r="13" spans="1:8">
      <c r="A13" s="1" t="s">
        <v>108</v>
      </c>
      <c r="B13" s="5">
        <v>0.5</v>
      </c>
      <c r="C13">
        <v>3.86</v>
      </c>
      <c r="D13">
        <f>$B$12*(1-$B$13)*$F$12+($B$12*$B$13*$F$13)</f>
        <v>1850</v>
      </c>
      <c r="E13">
        <v>99223</v>
      </c>
      <c r="F13">
        <v>220</v>
      </c>
    </row>
    <row r="14" spans="1:8">
      <c r="A14" s="1" t="s">
        <v>6</v>
      </c>
      <c r="B14">
        <v>50</v>
      </c>
      <c r="C14">
        <f>$B$14*((1-$B$13)*$C$12)+$B$14*($B$13*$B$12*$C$13)</f>
        <v>1030.25</v>
      </c>
      <c r="D14">
        <f>$B$14*$D$13+$B$11</f>
        <v>112500</v>
      </c>
    </row>
    <row r="15" spans="1:8">
      <c r="A15" s="1" t="s">
        <v>12</v>
      </c>
      <c r="D15" s="6">
        <f>$D$14</f>
        <v>112500</v>
      </c>
    </row>
    <row r="16" spans="1:8">
      <c r="B16" s="5"/>
      <c r="D16" s="6"/>
    </row>
    <row r="18" spans="1:7" ht="23">
      <c r="A18" s="2" t="s">
        <v>9</v>
      </c>
      <c r="G18" t="s">
        <v>116</v>
      </c>
    </row>
    <row r="19" spans="1:7">
      <c r="A19" s="1" t="s">
        <v>111</v>
      </c>
      <c r="B19">
        <v>8</v>
      </c>
      <c r="C19">
        <v>10.6</v>
      </c>
      <c r="D19">
        <f>$B$19*$F$19</f>
        <v>5600</v>
      </c>
      <c r="E19">
        <v>44950</v>
      </c>
      <c r="F19">
        <v>700</v>
      </c>
      <c r="G19" t="s">
        <v>32</v>
      </c>
    </row>
    <row r="20" spans="1:7">
      <c r="A20" s="1" t="s">
        <v>10</v>
      </c>
      <c r="B20">
        <v>6</v>
      </c>
      <c r="C20">
        <v>34.9</v>
      </c>
      <c r="D20">
        <f>$B$20*$F$20</f>
        <v>13800</v>
      </c>
      <c r="E20">
        <v>44151</v>
      </c>
      <c r="F20">
        <v>2300</v>
      </c>
      <c r="G20" t="s">
        <v>33</v>
      </c>
    </row>
    <row r="21" spans="1:7">
      <c r="A21" s="1" t="s">
        <v>13</v>
      </c>
      <c r="B21">
        <v>40</v>
      </c>
      <c r="C21">
        <f>$B$21*$B$19*$C$19+$B$21*$B$20*$C$20</f>
        <v>11768</v>
      </c>
      <c r="D21">
        <f>$B$21*$D$19+$B$21*$D$20</f>
        <v>776000</v>
      </c>
    </row>
    <row r="22" spans="1:7">
      <c r="A22" s="1" t="s">
        <v>14</v>
      </c>
      <c r="D22">
        <f>$D$21</f>
        <v>776000</v>
      </c>
    </row>
    <row r="24" spans="1:7">
      <c r="A24" s="1" t="s">
        <v>21</v>
      </c>
      <c r="B24" s="5">
        <v>0.6</v>
      </c>
    </row>
    <row r="25" spans="1:7">
      <c r="A25" s="1" t="s">
        <v>117</v>
      </c>
      <c r="B25" s="5">
        <v>1.4</v>
      </c>
    </row>
    <row r="26" spans="1:7">
      <c r="B26" s="5"/>
    </row>
    <row r="27" spans="1:7">
      <c r="A27" s="1" t="s">
        <v>34</v>
      </c>
      <c r="B27" s="5"/>
      <c r="D27">
        <f>(1-$B$24)*($D$7+$D$14+$D$21)</f>
        <v>410059.2</v>
      </c>
    </row>
    <row r="28" spans="1:7">
      <c r="A28" s="1" t="s">
        <v>35</v>
      </c>
      <c r="D28" s="7">
        <f>$B$24*$B$25*($D$14+$D$21+$D$7)</f>
        <v>861124.32</v>
      </c>
    </row>
    <row r="29" spans="1:7">
      <c r="A29" s="1" t="s">
        <v>109</v>
      </c>
      <c r="B29" s="5">
        <v>0.9</v>
      </c>
    </row>
    <row r="30" spans="1:7">
      <c r="B30" s="5"/>
    </row>
    <row r="31" spans="1:7">
      <c r="A31" s="1" t="s">
        <v>112</v>
      </c>
      <c r="B31" s="7">
        <v>50000</v>
      </c>
    </row>
    <row r="32" spans="1:7">
      <c r="A32" s="1" t="s">
        <v>113</v>
      </c>
      <c r="B32" s="7">
        <v>10000</v>
      </c>
    </row>
    <row r="33" spans="1:4">
      <c r="B33" s="5"/>
    </row>
    <row r="34" spans="1:4" ht="25">
      <c r="A34" s="3" t="s">
        <v>17</v>
      </c>
      <c r="D34" s="7">
        <f>($D$27+$D$28)*$B$29 + $B$31+$B$32</f>
        <v>1204065.1680000001</v>
      </c>
    </row>
    <row r="37" spans="1:4" ht="23">
      <c r="A37" s="2" t="s">
        <v>15</v>
      </c>
    </row>
    <row r="38" spans="1:4">
      <c r="A38" s="1" t="s">
        <v>16</v>
      </c>
      <c r="B38" s="5">
        <v>0.27</v>
      </c>
    </row>
    <row r="39" spans="1:4">
      <c r="A39" s="1" t="s">
        <v>19</v>
      </c>
      <c r="D39" s="7">
        <f>($D$34-$B$31-$B$32)*$B$38</f>
        <v>308897.59536000004</v>
      </c>
    </row>
    <row r="41" spans="1:4">
      <c r="A41" s="1" t="s">
        <v>23</v>
      </c>
      <c r="B41" s="6">
        <v>220000</v>
      </c>
    </row>
    <row r="42" spans="1:4">
      <c r="A42" s="1" t="s">
        <v>18</v>
      </c>
      <c r="B42" s="5">
        <v>0.37</v>
      </c>
    </row>
    <row r="43" spans="1:4">
      <c r="A43" s="1" t="s">
        <v>22</v>
      </c>
      <c r="D43">
        <f>$B$41+$B$41*$B$42</f>
        <v>301400</v>
      </c>
    </row>
    <row r="45" spans="1:4">
      <c r="A45" s="1" t="s">
        <v>118</v>
      </c>
      <c r="B45" s="6">
        <v>100000</v>
      </c>
    </row>
    <row r="46" spans="1:4">
      <c r="A46" s="1" t="s">
        <v>119</v>
      </c>
      <c r="B46" s="6">
        <v>150000</v>
      </c>
    </row>
    <row r="47" spans="1:4">
      <c r="A47" s="1" t="s">
        <v>120</v>
      </c>
      <c r="B47" s="6">
        <v>90000</v>
      </c>
    </row>
    <row r="49" spans="1:4">
      <c r="A49" s="1" t="s">
        <v>24</v>
      </c>
      <c r="D49" s="6">
        <f>$B$45+$B$46+$B$47</f>
        <v>340000</v>
      </c>
    </row>
    <row r="51" spans="1:4">
      <c r="A51" s="1" t="s">
        <v>25</v>
      </c>
      <c r="B51" s="6">
        <v>50000</v>
      </c>
    </row>
    <row r="52" spans="1:4">
      <c r="A52" s="1" t="s">
        <v>26</v>
      </c>
      <c r="B52" s="6">
        <v>25000</v>
      </c>
    </row>
    <row r="53" spans="1:4">
      <c r="A53" s="1" t="s">
        <v>36</v>
      </c>
      <c r="B53" s="6">
        <v>30000</v>
      </c>
    </row>
    <row r="54" spans="1:4">
      <c r="A54" s="1" t="s">
        <v>27</v>
      </c>
      <c r="D54" s="6">
        <f>$B$51+$B$52+$B$53</f>
        <v>105000</v>
      </c>
    </row>
    <row r="56" spans="1:4" ht="23">
      <c r="A56" s="4" t="s">
        <v>28</v>
      </c>
      <c r="D56" s="6">
        <f>$D$39+$D$43+$D$49+$D$54</f>
        <v>1055297.5953600002</v>
      </c>
    </row>
    <row r="58" spans="1:4">
      <c r="A58" s="1" t="s">
        <v>29</v>
      </c>
      <c r="B58" s="6">
        <v>25000</v>
      </c>
      <c r="D58" s="6">
        <f>$D$56+$B$58</f>
        <v>1080297.5953600002</v>
      </c>
    </row>
    <row r="60" spans="1:4" ht="25">
      <c r="A60" s="8" t="s">
        <v>30</v>
      </c>
      <c r="D60" s="9">
        <f>$D$34-$D$58</f>
        <v>123767.57263999991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topLeftCell="A37" workbookViewId="0">
      <selection sqref="A1:D48"/>
    </sheetView>
  </sheetViews>
  <sheetFormatPr baseColWidth="10" defaultColWidth="8.83203125" defaultRowHeight="14" x14ac:dyDescent="0"/>
  <cols>
    <col min="4" max="4" width="16.33203125" customWidth="1"/>
  </cols>
  <sheetData>
    <row r="1" spans="1:1">
      <c r="A1" s="10" t="s">
        <v>37</v>
      </c>
    </row>
    <row r="2" spans="1:1">
      <c r="A2" s="11"/>
    </row>
    <row r="3" spans="1:1">
      <c r="A3" s="12" t="s">
        <v>38</v>
      </c>
    </row>
    <row r="4" spans="1:1">
      <c r="A4" s="11"/>
    </row>
    <row r="5" spans="1:1">
      <c r="A5" s="12" t="s">
        <v>39</v>
      </c>
    </row>
    <row r="6" spans="1:1">
      <c r="A6" s="11" t="s">
        <v>40</v>
      </c>
    </row>
    <row r="7" spans="1:1">
      <c r="A7" s="11" t="s">
        <v>41</v>
      </c>
    </row>
    <row r="8" spans="1:1">
      <c r="A8" s="13" t="s">
        <v>42</v>
      </c>
    </row>
    <row r="9" spans="1:1">
      <c r="A9" s="13" t="s">
        <v>43</v>
      </c>
    </row>
    <row r="10" spans="1:1">
      <c r="A10" s="11" t="s">
        <v>44</v>
      </c>
    </row>
    <row r="11" spans="1:1">
      <c r="A11" s="11" t="s">
        <v>45</v>
      </c>
    </row>
    <row r="12" spans="1:1">
      <c r="A12" s="11" t="s">
        <v>46</v>
      </c>
    </row>
    <row r="13" spans="1:1">
      <c r="A13" s="11" t="s">
        <v>47</v>
      </c>
    </row>
    <row r="14" spans="1:1">
      <c r="A14" s="11" t="s">
        <v>48</v>
      </c>
    </row>
    <row r="15" spans="1:1">
      <c r="A15" s="11" t="s">
        <v>49</v>
      </c>
    </row>
    <row r="16" spans="1:1">
      <c r="A16" s="13" t="s">
        <v>50</v>
      </c>
    </row>
    <row r="17" spans="1:1">
      <c r="A17" s="14" t="s">
        <v>51</v>
      </c>
    </row>
    <row r="18" spans="1:1">
      <c r="A18" s="14" t="s">
        <v>52</v>
      </c>
    </row>
    <row r="19" spans="1:1">
      <c r="A19" s="14" t="s">
        <v>53</v>
      </c>
    </row>
    <row r="20" spans="1:1">
      <c r="A20" s="14" t="s">
        <v>54</v>
      </c>
    </row>
    <row r="21" spans="1:1">
      <c r="A21" s="14" t="s">
        <v>55</v>
      </c>
    </row>
    <row r="22" spans="1:1">
      <c r="A22" s="14" t="s">
        <v>56</v>
      </c>
    </row>
    <row r="23" spans="1:1">
      <c r="A23" s="13" t="s">
        <v>57</v>
      </c>
    </row>
    <row r="24" spans="1:1">
      <c r="A24" s="11" t="s">
        <v>58</v>
      </c>
    </row>
    <row r="25" spans="1:1">
      <c r="A25" s="11"/>
    </row>
    <row r="26" spans="1:1">
      <c r="A26" s="15" t="s">
        <v>59</v>
      </c>
    </row>
    <row r="27" spans="1:1">
      <c r="A27" s="11"/>
    </row>
    <row r="28" spans="1:1">
      <c r="A28" s="15" t="s">
        <v>60</v>
      </c>
    </row>
    <row r="29" spans="1:1">
      <c r="A29" s="11" t="s">
        <v>61</v>
      </c>
    </row>
    <row r="30" spans="1:1">
      <c r="A30" s="11" t="s">
        <v>62</v>
      </c>
    </row>
    <row r="31" spans="1:1">
      <c r="A31" s="11" t="s">
        <v>63</v>
      </c>
    </row>
    <row r="32" spans="1:1">
      <c r="A32" s="11" t="s">
        <v>64</v>
      </c>
    </row>
    <row r="33" spans="1:1">
      <c r="A33" s="11" t="s">
        <v>65</v>
      </c>
    </row>
    <row r="34" spans="1:1">
      <c r="A34" s="11" t="s">
        <v>66</v>
      </c>
    </row>
    <row r="35" spans="1:1">
      <c r="A35" s="11" t="s">
        <v>67</v>
      </c>
    </row>
    <row r="36" spans="1:1">
      <c r="A36" s="11" t="s">
        <v>68</v>
      </c>
    </row>
    <row r="37" spans="1:1">
      <c r="A37" s="11" t="s">
        <v>69</v>
      </c>
    </row>
    <row r="38" spans="1:1">
      <c r="A38" s="13" t="s">
        <v>70</v>
      </c>
    </row>
    <row r="39" spans="1:1">
      <c r="A39" s="13" t="s">
        <v>71</v>
      </c>
    </row>
    <row r="40" spans="1:1">
      <c r="A40" s="13" t="s">
        <v>72</v>
      </c>
    </row>
    <row r="41" spans="1:1">
      <c r="A41" s="16" t="s">
        <v>73</v>
      </c>
    </row>
    <row r="42" spans="1:1">
      <c r="A42" s="13" t="s">
        <v>74</v>
      </c>
    </row>
    <row r="43" spans="1:1">
      <c r="A43" s="13" t="s">
        <v>75</v>
      </c>
    </row>
    <row r="44" spans="1:1">
      <c r="A44" s="13" t="s">
        <v>76</v>
      </c>
    </row>
    <row r="45" spans="1:1">
      <c r="A45" s="13" t="s">
        <v>77</v>
      </c>
    </row>
    <row r="46" spans="1:1">
      <c r="A46" s="13" t="s">
        <v>78</v>
      </c>
    </row>
    <row r="47" spans="1:1">
      <c r="A47" s="11" t="s">
        <v>79</v>
      </c>
    </row>
    <row r="48" spans="1:1">
      <c r="A48" s="11" t="s">
        <v>80</v>
      </c>
    </row>
    <row r="49" spans="1:1">
      <c r="A49" s="11"/>
    </row>
    <row r="50" spans="1:1">
      <c r="A50" s="10" t="s">
        <v>81</v>
      </c>
    </row>
    <row r="51" spans="1:1">
      <c r="A51" s="10"/>
    </row>
    <row r="52" spans="1:1">
      <c r="A52" s="10" t="s">
        <v>82</v>
      </c>
    </row>
    <row r="54" spans="1:1">
      <c r="A54" s="10" t="s">
        <v>83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O10" sqref="O10"/>
    </sheetView>
  </sheetViews>
  <sheetFormatPr baseColWidth="10" defaultColWidth="8.83203125" defaultRowHeight="14" x14ac:dyDescent="0"/>
  <cols>
    <col min="2" max="2" width="24.6640625" customWidth="1"/>
    <col min="5" max="5" width="16" customWidth="1"/>
    <col min="10" max="10" width="11.5" customWidth="1"/>
  </cols>
  <sheetData>
    <row r="1" spans="1:13" ht="46" thickBot="1">
      <c r="A1" s="63" t="s">
        <v>107</v>
      </c>
      <c r="B1" s="64"/>
      <c r="C1" s="64"/>
      <c r="D1" s="64"/>
      <c r="E1" s="64"/>
      <c r="F1" s="65"/>
      <c r="H1" s="17" t="s">
        <v>84</v>
      </c>
      <c r="I1" s="18"/>
      <c r="J1" s="19" t="s">
        <v>85</v>
      </c>
      <c r="L1" s="17" t="s">
        <v>86</v>
      </c>
      <c r="M1" s="20"/>
    </row>
    <row r="2" spans="1:13">
      <c r="A2" s="1" t="s">
        <v>87</v>
      </c>
      <c r="C2" s="21" t="s">
        <v>88</v>
      </c>
      <c r="D2" s="21" t="s">
        <v>89</v>
      </c>
      <c r="E2" s="22" t="s">
        <v>90</v>
      </c>
      <c r="F2" s="21" t="s">
        <v>91</v>
      </c>
      <c r="H2" s="23"/>
      <c r="I2" s="24"/>
      <c r="M2" s="20"/>
    </row>
    <row r="3" spans="1:13">
      <c r="A3" t="s">
        <v>92</v>
      </c>
      <c r="C3" s="25">
        <v>354</v>
      </c>
      <c r="D3" s="23">
        <v>2</v>
      </c>
      <c r="E3" s="26">
        <f>C3*D3</f>
        <v>708</v>
      </c>
      <c r="F3" s="27">
        <f>2.4907*D3</f>
        <v>4.9813999999999998</v>
      </c>
      <c r="H3" s="23"/>
      <c r="I3" s="24"/>
      <c r="M3" s="20"/>
    </row>
    <row r="4" spans="1:13">
      <c r="A4" s="28" t="s">
        <v>93</v>
      </c>
      <c r="B4" s="28"/>
      <c r="C4" s="29">
        <v>214</v>
      </c>
      <c r="D4" s="30">
        <v>6</v>
      </c>
      <c r="E4" s="31">
        <f>C4*D4</f>
        <v>1284</v>
      </c>
      <c r="F4" s="32">
        <f>1.5375*D4</f>
        <v>9.2250000000000014</v>
      </c>
      <c r="H4" s="23"/>
      <c r="I4" s="24"/>
      <c r="M4" s="20"/>
    </row>
    <row r="5" spans="1:13">
      <c r="A5" s="1"/>
      <c r="B5" s="1"/>
      <c r="C5" s="1"/>
      <c r="D5" s="33" t="s">
        <v>94</v>
      </c>
      <c r="E5" s="34">
        <f>SUM(E3:E4)</f>
        <v>1992</v>
      </c>
      <c r="F5" s="35">
        <f>SUM(F3:F4)</f>
        <v>14.206400000000002</v>
      </c>
      <c r="H5" s="23"/>
      <c r="I5" s="24"/>
      <c r="M5" s="20"/>
    </row>
    <row r="6" spans="1:13">
      <c r="A6" s="1"/>
      <c r="B6" s="1"/>
      <c r="C6" s="1"/>
      <c r="D6" s="33" t="s">
        <v>95</v>
      </c>
      <c r="E6" s="36">
        <f>E5*37</f>
        <v>73704</v>
      </c>
      <c r="F6" s="35">
        <f>F5*37</f>
        <v>525.63680000000011</v>
      </c>
      <c r="H6" s="21">
        <v>2</v>
      </c>
      <c r="I6" s="24"/>
      <c r="J6" s="36"/>
      <c r="L6" s="37">
        <f>F5*37*H6</f>
        <v>1051.2736000000002</v>
      </c>
      <c r="M6" s="20"/>
    </row>
    <row r="7" spans="1:13">
      <c r="A7" s="1"/>
      <c r="B7" s="1"/>
      <c r="C7" s="1"/>
      <c r="D7" s="33" t="s">
        <v>96</v>
      </c>
      <c r="E7" s="38">
        <v>0.58699999999999997</v>
      </c>
      <c r="F7" s="23"/>
      <c r="H7" s="23"/>
      <c r="I7" s="24"/>
      <c r="M7" s="20"/>
    </row>
    <row r="8" spans="1:13" ht="15">
      <c r="A8" s="39"/>
      <c r="B8" s="1"/>
      <c r="C8" s="1"/>
      <c r="D8" s="33" t="s">
        <v>97</v>
      </c>
      <c r="E8" s="40">
        <f>E6*E7</f>
        <v>43264.248</v>
      </c>
      <c r="F8" s="23"/>
      <c r="H8" s="23"/>
      <c r="I8" s="24"/>
      <c r="J8" s="41"/>
      <c r="M8" s="20"/>
    </row>
    <row r="9" spans="1:13" ht="15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46" thickBot="1">
      <c r="A10" s="63" t="s">
        <v>7</v>
      </c>
      <c r="B10" s="64"/>
      <c r="C10" s="64"/>
      <c r="D10" s="64"/>
      <c r="E10" s="64"/>
      <c r="F10" s="65"/>
      <c r="H10" s="17" t="s">
        <v>98</v>
      </c>
      <c r="I10" s="18"/>
      <c r="J10" s="19" t="s">
        <v>85</v>
      </c>
      <c r="L10" s="17" t="s">
        <v>86</v>
      </c>
      <c r="M10" s="20"/>
    </row>
    <row r="11" spans="1:13">
      <c r="A11" s="1" t="s">
        <v>99</v>
      </c>
      <c r="C11" s="21" t="s">
        <v>88</v>
      </c>
      <c r="D11" s="21" t="s">
        <v>89</v>
      </c>
      <c r="E11" s="22" t="s">
        <v>90</v>
      </c>
      <c r="F11" s="21" t="s">
        <v>91</v>
      </c>
      <c r="H11" s="23"/>
      <c r="I11" s="24"/>
      <c r="M11" s="20"/>
    </row>
    <row r="12" spans="1:13">
      <c r="A12" t="s">
        <v>100</v>
      </c>
      <c r="C12" s="25">
        <v>289</v>
      </c>
      <c r="D12" s="23">
        <v>20</v>
      </c>
      <c r="E12" s="26">
        <f>C12*D12</f>
        <v>5780</v>
      </c>
      <c r="F12" s="27">
        <f>2.6805*D12</f>
        <v>53.61</v>
      </c>
      <c r="H12" s="23"/>
      <c r="I12" s="24"/>
      <c r="M12" s="20"/>
    </row>
    <row r="13" spans="1:13">
      <c r="A13" s="42" t="s">
        <v>101</v>
      </c>
      <c r="B13" s="42"/>
      <c r="C13" s="43">
        <v>143</v>
      </c>
      <c r="D13" s="44">
        <v>40</v>
      </c>
      <c r="E13" s="45">
        <f>C13*D13</f>
        <v>5720</v>
      </c>
      <c r="F13" s="46">
        <f>1.4247*D13</f>
        <v>56.988</v>
      </c>
      <c r="H13" s="23"/>
      <c r="I13" s="24"/>
      <c r="M13" s="20"/>
    </row>
    <row r="14" spans="1:13">
      <c r="A14" s="42" t="s">
        <v>102</v>
      </c>
      <c r="B14" s="42"/>
      <c r="C14" s="43">
        <v>502</v>
      </c>
      <c r="D14" s="44">
        <v>1</v>
      </c>
      <c r="E14" s="45">
        <f>C14*D14</f>
        <v>502</v>
      </c>
      <c r="F14" s="46">
        <v>4.0999999999999996</v>
      </c>
      <c r="H14" s="23"/>
      <c r="I14" s="24"/>
      <c r="M14" s="20"/>
    </row>
    <row r="15" spans="1:13">
      <c r="A15" t="s">
        <v>103</v>
      </c>
      <c r="B15" s="42"/>
      <c r="C15" s="25">
        <v>874</v>
      </c>
      <c r="D15" s="23">
        <v>1</v>
      </c>
      <c r="E15" s="25">
        <f>C15*D15</f>
        <v>874</v>
      </c>
      <c r="F15" s="23">
        <f>2.53*D15</f>
        <v>2.5299999999999998</v>
      </c>
      <c r="H15" s="23"/>
      <c r="I15" s="24"/>
      <c r="M15" s="20"/>
    </row>
    <row r="16" spans="1:13">
      <c r="A16" s="1"/>
      <c r="B16" s="1"/>
      <c r="C16" s="1"/>
      <c r="D16" s="33" t="s">
        <v>104</v>
      </c>
      <c r="E16" s="34">
        <f>SUM(E12:E15)</f>
        <v>12876</v>
      </c>
      <c r="F16" s="35">
        <f>SUM(F12:F15)</f>
        <v>117.22799999999999</v>
      </c>
      <c r="H16" s="23"/>
      <c r="I16" s="24"/>
      <c r="M16" s="20"/>
    </row>
    <row r="17" spans="1:13">
      <c r="A17" s="1"/>
      <c r="B17" s="1"/>
      <c r="C17" s="1"/>
      <c r="D17" s="33" t="s">
        <v>105</v>
      </c>
      <c r="E17" s="36">
        <f>E16*H17</f>
        <v>115884</v>
      </c>
      <c r="F17" s="35">
        <f>F16*H17</f>
        <v>1055.0519999999999</v>
      </c>
      <c r="H17" s="21">
        <v>9</v>
      </c>
      <c r="I17" s="24"/>
      <c r="J17" s="36"/>
      <c r="L17" s="37">
        <f>F16*H17</f>
        <v>1055.0519999999999</v>
      </c>
      <c r="M17" s="20"/>
    </row>
    <row r="18" spans="1:13">
      <c r="A18" s="1"/>
      <c r="B18" s="1"/>
      <c r="C18" s="1"/>
      <c r="D18" s="33" t="s">
        <v>96</v>
      </c>
      <c r="E18" s="38">
        <v>0.52590000000000003</v>
      </c>
      <c r="F18" s="23"/>
      <c r="H18" s="23"/>
      <c r="I18" s="24"/>
      <c r="M18" s="20"/>
    </row>
    <row r="19" spans="1:13" ht="15">
      <c r="A19" s="39"/>
      <c r="B19" s="1"/>
      <c r="C19" s="1"/>
      <c r="D19" s="33" t="s">
        <v>106</v>
      </c>
      <c r="E19" s="40">
        <f>E16*E18</f>
        <v>6771.4884000000002</v>
      </c>
      <c r="F19" s="23"/>
      <c r="H19" s="23"/>
      <c r="I19" s="24"/>
      <c r="J19" s="41">
        <f>E19*H17</f>
        <v>60943.395600000003</v>
      </c>
      <c r="M19" s="20"/>
    </row>
    <row r="20" spans="1:1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>
      <c r="A21" s="51"/>
      <c r="B21" s="50"/>
      <c r="C21" s="52"/>
      <c r="D21" s="52"/>
      <c r="E21" s="53"/>
      <c r="F21" s="52"/>
      <c r="G21" s="50"/>
      <c r="H21" s="54"/>
      <c r="I21" s="24"/>
      <c r="J21" s="50"/>
      <c r="K21" s="50"/>
      <c r="L21" s="50"/>
      <c r="M21" s="20"/>
    </row>
    <row r="22" spans="1:13">
      <c r="A22" s="51"/>
      <c r="B22" s="51"/>
      <c r="C22" s="51"/>
      <c r="D22" s="55"/>
      <c r="E22" s="56"/>
      <c r="F22" s="57"/>
      <c r="G22" s="50"/>
      <c r="H22" s="54"/>
      <c r="I22" s="24"/>
      <c r="J22" s="50"/>
      <c r="K22" s="50"/>
      <c r="L22" s="50"/>
      <c r="M22" s="20"/>
    </row>
    <row r="23" spans="1:13">
      <c r="A23" s="51"/>
      <c r="B23" s="51"/>
      <c r="C23" s="51"/>
      <c r="D23" s="55"/>
      <c r="E23" s="58"/>
      <c r="F23" s="57"/>
      <c r="G23" s="50"/>
      <c r="H23" s="52"/>
      <c r="I23" s="24"/>
      <c r="J23" s="58"/>
      <c r="K23" s="50"/>
      <c r="L23" s="59"/>
      <c r="M23" s="20"/>
    </row>
    <row r="24" spans="1:13">
      <c r="A24" s="51"/>
      <c r="B24" s="51"/>
      <c r="C24" s="51"/>
      <c r="D24" s="55"/>
      <c r="E24" s="60"/>
      <c r="F24" s="54"/>
      <c r="G24" s="50"/>
      <c r="H24" s="54"/>
      <c r="I24" s="24"/>
      <c r="J24" s="50"/>
      <c r="K24" s="50"/>
      <c r="L24" s="50"/>
      <c r="M24" s="20"/>
    </row>
    <row r="25" spans="1:13" ht="15">
      <c r="A25" s="61"/>
      <c r="B25" s="51"/>
      <c r="C25" s="51"/>
      <c r="D25" s="55"/>
      <c r="E25" s="62"/>
      <c r="F25" s="54"/>
      <c r="G25" s="50"/>
      <c r="H25" s="54"/>
      <c r="I25" s="24"/>
      <c r="J25" s="56"/>
      <c r="K25" s="50"/>
      <c r="L25" s="50"/>
      <c r="M25" s="20"/>
    </row>
    <row r="26" spans="1:1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>
      <c r="A27" s="20"/>
      <c r="B27" s="20"/>
      <c r="C27" s="20"/>
      <c r="D27" s="20"/>
      <c r="E27" s="20"/>
      <c r="F27" s="20"/>
      <c r="G27" s="20"/>
      <c r="H27" s="33"/>
      <c r="I27" s="20"/>
      <c r="J27" s="47"/>
      <c r="K27" s="20"/>
      <c r="L27" s="20"/>
      <c r="M27" s="20"/>
    </row>
    <row r="28" spans="1:13">
      <c r="A28" s="20"/>
      <c r="B28" s="20"/>
      <c r="C28" s="20"/>
      <c r="D28" s="20"/>
      <c r="E28" s="20"/>
      <c r="F28" s="20"/>
      <c r="G28" s="20"/>
      <c r="H28" s="33"/>
      <c r="I28" s="20"/>
      <c r="J28" s="48"/>
      <c r="K28" s="20"/>
      <c r="L28" s="20"/>
      <c r="M28" s="20"/>
    </row>
    <row r="29" spans="1:13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49"/>
      <c r="M29" s="20"/>
    </row>
  </sheetData>
  <mergeCells count="2">
    <mergeCell ref="A1:F1"/>
    <mergeCell ref="A10:F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Standard GI P&amp;L</vt:lpstr>
      <vt:lpstr>GI Charge analysis</vt:lpstr>
    </vt:vector>
  </TitlesOfParts>
  <Company>Johns Hopkins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Yousem</dc:creator>
  <cp:lastModifiedBy>David Yousem</cp:lastModifiedBy>
  <dcterms:created xsi:type="dcterms:W3CDTF">2015-07-05T12:33:07Z</dcterms:created>
  <dcterms:modified xsi:type="dcterms:W3CDTF">2015-07-22T16:18:46Z</dcterms:modified>
</cp:coreProperties>
</file>